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06/relationships/ui/userCustomization" Target="userCustomization/customUI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0" yWindow="90" windowWidth="19320" windowHeight="12120"/>
  </bookViews>
  <sheets>
    <sheet name="Konfigurátor" sheetId="1" r:id="rId1"/>
    <sheet name="List2" sheetId="2" state="hidden" r:id="rId2"/>
    <sheet name="List3" sheetId="3" state="hidden" r:id="rId3"/>
  </sheets>
  <definedNames>
    <definedName name="Květináč">INDEX(List2!$V$37:$V$38,MATCH(List2!$AA$1,List2!$T$1:$T$2,0))</definedName>
    <definedName name="_xlnm.Print_Area" localSheetId="1">List2!$W$4:$Y$9</definedName>
  </definedNames>
  <calcPr calcId="125725"/>
</workbook>
</file>

<file path=xl/calcChain.xml><?xml version="1.0" encoding="utf-8"?>
<calcChain xmlns="http://schemas.openxmlformats.org/spreadsheetml/2006/main">
  <c r="AK9" i="2"/>
  <c r="AK8"/>
  <c r="AK7"/>
  <c r="AK12" s="1"/>
  <c r="AF19"/>
  <c r="C1"/>
  <c r="C7" s="1"/>
  <c r="C8" s="1"/>
  <c r="N23" i="1"/>
  <c r="AE9" i="2"/>
  <c r="AB16"/>
  <c r="AF15" s="1"/>
  <c r="AA31"/>
  <c r="AA14"/>
  <c r="AK10" l="1"/>
  <c r="C4"/>
  <c r="C5" s="1"/>
  <c r="AF14"/>
  <c r="AF13"/>
  <c r="AF18"/>
  <c r="AB8"/>
  <c r="AB9" s="1"/>
  <c r="AM2" l="1"/>
  <c r="AM1" s="1"/>
  <c r="AM9" s="1"/>
  <c r="AM10" s="1"/>
  <c r="AK15"/>
  <c r="AK16"/>
  <c r="AF9"/>
  <c r="AC34"/>
  <c r="AC33"/>
  <c r="AB4"/>
  <c r="AB5" s="1"/>
  <c r="AK17" l="1"/>
  <c r="AL9"/>
  <c r="AL10" s="1"/>
  <c r="E29" i="1"/>
  <c r="AC35" i="2"/>
  <c r="AF20" s="1"/>
  <c r="AF34"/>
  <c r="AE34"/>
  <c r="AF33"/>
  <c r="AE33"/>
  <c r="AA6"/>
  <c r="AK19" l="1"/>
  <c r="AJ21" s="1"/>
  <c r="E18" i="1" s="1"/>
  <c r="E31" s="1"/>
  <c r="AF21" i="2"/>
  <c r="N22" i="1" s="1"/>
  <c r="P30" s="1"/>
  <c r="AE28" i="2"/>
  <c r="AE29"/>
</calcChain>
</file>

<file path=xl/sharedStrings.xml><?xml version="1.0" encoding="utf-8"?>
<sst xmlns="http://schemas.openxmlformats.org/spreadsheetml/2006/main" count="104" uniqueCount="72">
  <si>
    <t>Obyčejný</t>
  </si>
  <si>
    <t>A</t>
  </si>
  <si>
    <t>B</t>
  </si>
  <si>
    <t>C</t>
  </si>
  <si>
    <t>Šířka</t>
  </si>
  <si>
    <t>Hloubka</t>
  </si>
  <si>
    <t>Výška</t>
  </si>
  <si>
    <t>Síla materiálu</t>
  </si>
  <si>
    <t>Cena síly materiálu</t>
  </si>
  <si>
    <t>*pozn. cena je orientační a může se lišit ve vybraném materiálu a případném technickém řešení na míru (atypický tvar, úkosy atd.)</t>
  </si>
  <si>
    <t>*</t>
  </si>
  <si>
    <t>Rozměry květináče v cm</t>
  </si>
  <si>
    <t>4mm</t>
  </si>
  <si>
    <t>8mm</t>
  </si>
  <si>
    <t>15mm</t>
  </si>
  <si>
    <t>Výztuhy</t>
  </si>
  <si>
    <t>m2</t>
  </si>
  <si>
    <t>Šířka výztuhy</t>
  </si>
  <si>
    <t>cm</t>
  </si>
  <si>
    <t>Kusů</t>
  </si>
  <si>
    <t>Cena Výztuh</t>
  </si>
  <si>
    <t>CENA VČETNĚ VÝZTUH</t>
  </si>
  <si>
    <t>Plocha horního límečku</t>
  </si>
  <si>
    <t>Vnitřní výztuhy (Žebra)</t>
  </si>
  <si>
    <t>Horní límeček</t>
  </si>
  <si>
    <t>Zateplený</t>
  </si>
  <si>
    <t>Polystyrén 30mm</t>
  </si>
  <si>
    <t>Kč/m</t>
  </si>
  <si>
    <t>Cena roštu</t>
  </si>
  <si>
    <t>Zavlažovací rošt</t>
  </si>
  <si>
    <t>Plocha roštu</t>
  </si>
  <si>
    <t>Cena za ploch.roštu</t>
  </si>
  <si>
    <t>CENA</t>
  </si>
  <si>
    <t>Počet  vnitřních výztuh (Horního límečku je počítán samostatně.)</t>
  </si>
  <si>
    <t>Orientační cena</t>
  </si>
  <si>
    <t>Ceny jsou uváděny bez DPH!!!</t>
  </si>
  <si>
    <t>Síla materiálu výztuhy</t>
  </si>
  <si>
    <t>pozn. vložení obrázků je přes funkci (index(hodnota;pozvyhledat(co; kde; shoda;0)) viz. Ctrl + F3 -&gt; Květináč</t>
  </si>
  <si>
    <t>Váha</t>
  </si>
  <si>
    <t>CELKEM VÝZTUHY</t>
  </si>
  <si>
    <t>Plocha materiálu</t>
  </si>
  <si>
    <t>Vnitřek zatepleného</t>
  </si>
  <si>
    <t>Kg/m2</t>
  </si>
  <si>
    <t>Váha Obyč</t>
  </si>
  <si>
    <t>Váha límce + výztuh</t>
  </si>
  <si>
    <t>Váha celkem</t>
  </si>
  <si>
    <t>Orientační váha truhlíku</t>
  </si>
  <si>
    <t>kg</t>
  </si>
  <si>
    <t>Objem</t>
  </si>
  <si>
    <t>litrů</t>
  </si>
  <si>
    <t>Vrstva zeminy</t>
  </si>
  <si>
    <t>Vrstva drenáže</t>
  </si>
  <si>
    <t>CELKOVÁ VÁHA TRUHLÍKU VČ. ZEMINY</t>
  </si>
  <si>
    <t>Hustota zeminy</t>
  </si>
  <si>
    <t>Hustota drenáže</t>
  </si>
  <si>
    <t>Kg/m3</t>
  </si>
  <si>
    <t>Plocha dna</t>
  </si>
  <si>
    <t>Hmotnost</t>
  </si>
  <si>
    <t>Dno</t>
  </si>
  <si>
    <t>Bok AC</t>
  </si>
  <si>
    <t>Bok BC</t>
  </si>
  <si>
    <t>PP 8mm</t>
  </si>
  <si>
    <t>PP 15mm</t>
  </si>
  <si>
    <t>Prac.</t>
  </si>
  <si>
    <t>hod</t>
  </si>
  <si>
    <t>Zateplení</t>
  </si>
  <si>
    <t>Vložka</t>
  </si>
  <si>
    <t>Cena zatepl</t>
  </si>
  <si>
    <t>Cena obyč</t>
  </si>
  <si>
    <t>Marže</t>
  </si>
  <si>
    <t>Rošt</t>
  </si>
  <si>
    <t>Zvolit</t>
  </si>
</sst>
</file>

<file path=xl/styles.xml><?xml version="1.0" encoding="utf-8"?>
<styleSheet xmlns="http://schemas.openxmlformats.org/spreadsheetml/2006/main">
  <numFmts count="2">
    <numFmt numFmtId="43" formatCode="_-* #,##0.00\ _K_č_-;\-* #,##0.00\ _K_č_-;_-* &quot;-&quot;??\ _K_č_-;_-@_-"/>
    <numFmt numFmtId="164" formatCode="#,##0.00\ &quot;Kč&quot;"/>
  </numFmts>
  <fonts count="19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8"/>
      <name val="Tahoma"/>
      <family val="2"/>
      <charset val="238"/>
    </font>
    <font>
      <i/>
      <sz val="11"/>
      <color indexed="8"/>
      <name val="Calibri"/>
      <family val="2"/>
      <charset val="238"/>
    </font>
    <font>
      <b/>
      <u/>
      <sz val="14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6"/>
      <color theme="6" tint="-0.499984740745262"/>
      <name val="Calibri"/>
      <family val="2"/>
      <charset val="238"/>
      <scheme val="minor"/>
    </font>
    <font>
      <b/>
      <sz val="12"/>
      <color theme="6" tint="-0.499984740745262"/>
      <name val="Calibri"/>
      <family val="2"/>
      <charset val="238"/>
      <scheme val="minor"/>
    </font>
    <font>
      <b/>
      <u/>
      <sz val="11"/>
      <color theme="1"/>
      <name val="Calibri"/>
      <family val="2"/>
      <charset val="238"/>
      <scheme val="minor"/>
    </font>
    <font>
      <b/>
      <sz val="16"/>
      <color theme="6" tint="-0.499984740745262"/>
      <name val="Calibri"/>
      <family val="2"/>
      <charset val="238"/>
    </font>
    <font>
      <b/>
      <sz val="11"/>
      <color theme="6" tint="-0.499984740745262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</font>
    <font>
      <b/>
      <sz val="11"/>
      <color theme="0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7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Fill="1"/>
    <xf numFmtId="0" fontId="1" fillId="0" borderId="0" xfId="0" applyFont="1" applyFill="1"/>
    <xf numFmtId="0" fontId="0" fillId="0" borderId="0" xfId="0" applyFill="1" applyBorder="1"/>
    <xf numFmtId="0" fontId="4" fillId="0" borderId="0" xfId="0" applyFont="1" applyFill="1"/>
    <xf numFmtId="0" fontId="0" fillId="2" borderId="4" xfId="0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0" xfId="0" applyFill="1" applyBorder="1"/>
    <xf numFmtId="0" fontId="0" fillId="2" borderId="8" xfId="0" applyFill="1" applyBorder="1"/>
    <xf numFmtId="0" fontId="0" fillId="2" borderId="3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3" fillId="0" borderId="0" xfId="0" applyFont="1" applyFill="1" applyAlignment="1">
      <alignment vertical="top"/>
    </xf>
    <xf numFmtId="0" fontId="6" fillId="2" borderId="1" xfId="0" applyFont="1" applyFill="1" applyBorder="1"/>
    <xf numFmtId="0" fontId="6" fillId="2" borderId="12" xfId="0" applyFont="1" applyFill="1" applyBorder="1"/>
    <xf numFmtId="0" fontId="0" fillId="2" borderId="7" xfId="0" applyFill="1" applyBorder="1" applyAlignment="1">
      <alignment vertical="top"/>
    </xf>
    <xf numFmtId="0" fontId="0" fillId="2" borderId="9" xfId="0" applyFill="1" applyBorder="1" applyAlignment="1">
      <alignment vertical="top"/>
    </xf>
    <xf numFmtId="0" fontId="0" fillId="2" borderId="10" xfId="0" applyFill="1" applyBorder="1" applyAlignment="1">
      <alignment vertical="top"/>
    </xf>
    <xf numFmtId="0" fontId="7" fillId="2" borderId="1" xfId="0" applyFont="1" applyFill="1" applyBorder="1"/>
    <xf numFmtId="0" fontId="7" fillId="2" borderId="12" xfId="0" applyFont="1" applyFill="1" applyBorder="1"/>
    <xf numFmtId="0" fontId="8" fillId="2" borderId="0" xfId="0" applyFont="1" applyFill="1" applyBorder="1"/>
    <xf numFmtId="0" fontId="5" fillId="2" borderId="0" xfId="0" applyFont="1" applyFill="1" applyBorder="1"/>
    <xf numFmtId="0" fontId="9" fillId="2" borderId="1" xfId="0" applyFont="1" applyFill="1" applyBorder="1"/>
    <xf numFmtId="0" fontId="9" fillId="2" borderId="12" xfId="0" applyFont="1" applyFill="1" applyBorder="1"/>
    <xf numFmtId="0" fontId="6" fillId="0" borderId="0" xfId="0" applyFont="1" applyFill="1"/>
    <xf numFmtId="0" fontId="10" fillId="0" borderId="0" xfId="0" applyFont="1" applyFill="1"/>
    <xf numFmtId="0" fontId="0" fillId="0" borderId="0" xfId="0" applyFill="1" applyAlignment="1"/>
    <xf numFmtId="0" fontId="11" fillId="2" borderId="4" xfId="0" applyFont="1" applyFill="1" applyBorder="1"/>
    <xf numFmtId="0" fontId="11" fillId="2" borderId="5" xfId="0" applyFont="1" applyFill="1" applyBorder="1"/>
    <xf numFmtId="0" fontId="11" fillId="2" borderId="6" xfId="0" applyFont="1" applyFill="1" applyBorder="1"/>
    <xf numFmtId="0" fontId="12" fillId="2" borderId="9" xfId="0" applyFont="1" applyFill="1" applyBorder="1"/>
    <xf numFmtId="0" fontId="12" fillId="2" borderId="10" xfId="0" applyFont="1" applyFill="1" applyBorder="1"/>
    <xf numFmtId="0" fontId="12" fillId="2" borderId="11" xfId="0" applyFont="1" applyFill="1" applyBorder="1"/>
    <xf numFmtId="0" fontId="0" fillId="2" borderId="18" xfId="0" applyFill="1" applyBorder="1"/>
    <xf numFmtId="0" fontId="11" fillId="2" borderId="0" xfId="0" applyFont="1" applyFill="1" applyBorder="1"/>
    <xf numFmtId="0" fontId="15" fillId="0" borderId="0" xfId="0" applyFont="1" applyFill="1"/>
    <xf numFmtId="164" fontId="15" fillId="0" borderId="0" xfId="0" applyNumberFormat="1" applyFont="1" applyFill="1" applyBorder="1"/>
    <xf numFmtId="0" fontId="14" fillId="0" borderId="0" xfId="0" applyFont="1" applyFill="1"/>
    <xf numFmtId="0" fontId="14" fillId="0" borderId="13" xfId="0" applyFont="1" applyFill="1" applyBorder="1"/>
    <xf numFmtId="0" fontId="14" fillId="0" borderId="14" xfId="0" applyFont="1" applyFill="1" applyBorder="1"/>
    <xf numFmtId="0" fontId="15" fillId="0" borderId="5" xfId="0" applyFont="1" applyFill="1" applyBorder="1"/>
    <xf numFmtId="0" fontId="14" fillId="0" borderId="5" xfId="0" applyFont="1" applyFill="1" applyBorder="1"/>
    <xf numFmtId="0" fontId="15" fillId="0" borderId="7" xfId="0" applyFont="1" applyFill="1" applyBorder="1"/>
    <xf numFmtId="0" fontId="15" fillId="0" borderId="0" xfId="0" applyFont="1" applyFill="1" applyBorder="1"/>
    <xf numFmtId="0" fontId="14" fillId="0" borderId="0" xfId="0" applyFont="1" applyFill="1" applyBorder="1"/>
    <xf numFmtId="0" fontId="15" fillId="0" borderId="9" xfId="0" applyFont="1" applyFill="1" applyBorder="1"/>
    <xf numFmtId="0" fontId="15" fillId="0" borderId="10" xfId="0" applyFont="1" applyFill="1" applyBorder="1"/>
    <xf numFmtId="0" fontId="14" fillId="0" borderId="10" xfId="0" applyFont="1" applyFill="1" applyBorder="1"/>
    <xf numFmtId="2" fontId="15" fillId="0" borderId="0" xfId="0" applyNumberFormat="1" applyFont="1" applyFill="1"/>
    <xf numFmtId="0" fontId="15" fillId="0" borderId="15" xfId="0" applyFont="1" applyFill="1" applyBorder="1"/>
    <xf numFmtId="0" fontId="15" fillId="0" borderId="16" xfId="0" applyFont="1" applyFill="1" applyBorder="1"/>
    <xf numFmtId="0" fontId="16" fillId="0" borderId="0" xfId="0" applyFont="1" applyFill="1"/>
    <xf numFmtId="0" fontId="13" fillId="0" borderId="0" xfId="0" applyFont="1" applyFill="1"/>
    <xf numFmtId="0" fontId="14" fillId="0" borderId="0" xfId="0" applyFont="1" applyFill="1" applyBorder="1" applyProtection="1"/>
    <xf numFmtId="0" fontId="14" fillId="0" borderId="0" xfId="0" applyFont="1" applyFill="1" applyAlignment="1">
      <alignment horizontal="center"/>
    </xf>
    <xf numFmtId="0" fontId="14" fillId="0" borderId="6" xfId="0" applyFont="1" applyFill="1" applyBorder="1"/>
    <xf numFmtId="0" fontId="14" fillId="0" borderId="8" xfId="0" applyFont="1" applyFill="1" applyBorder="1"/>
    <xf numFmtId="0" fontId="14" fillId="0" borderId="11" xfId="0" applyFont="1" applyFill="1" applyBorder="1"/>
    <xf numFmtId="43" fontId="14" fillId="0" borderId="0" xfId="1" applyFont="1" applyFill="1"/>
    <xf numFmtId="9" fontId="14" fillId="0" borderId="0" xfId="0" applyNumberFormat="1" applyFont="1" applyFill="1"/>
    <xf numFmtId="43" fontId="14" fillId="0" borderId="0" xfId="0" applyNumberFormat="1" applyFont="1" applyFill="1"/>
    <xf numFmtId="43" fontId="13" fillId="0" borderId="0" xfId="0" applyNumberFormat="1" applyFont="1" applyFill="1"/>
    <xf numFmtId="43" fontId="13" fillId="0" borderId="0" xfId="1" applyFont="1" applyFill="1"/>
    <xf numFmtId="43" fontId="18" fillId="0" borderId="0" xfId="1" applyFont="1" applyFill="1"/>
    <xf numFmtId="0" fontId="18" fillId="0" borderId="0" xfId="0" applyFont="1" applyFill="1"/>
    <xf numFmtId="0" fontId="11" fillId="2" borderId="7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center" wrapText="1"/>
    </xf>
    <xf numFmtId="0" fontId="11" fillId="2" borderId="17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>
      <alignment horizontal="center" vertical="center" wrapText="1"/>
    </xf>
    <xf numFmtId="164" fontId="9" fillId="2" borderId="12" xfId="0" applyNumberFormat="1" applyFont="1" applyFill="1" applyBorder="1" applyAlignment="1">
      <alignment horizontal="center"/>
    </xf>
    <xf numFmtId="164" fontId="9" fillId="2" borderId="2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left" vertical="top" wrapText="1"/>
    </xf>
    <xf numFmtId="0" fontId="0" fillId="2" borderId="0" xfId="0" applyFill="1" applyBorder="1" applyAlignment="1">
      <alignment horizontal="left" vertical="top" wrapText="1"/>
    </xf>
    <xf numFmtId="164" fontId="7" fillId="2" borderId="12" xfId="0" applyNumberFormat="1" applyFont="1" applyFill="1" applyBorder="1" applyAlignment="1">
      <alignment horizontal="center"/>
    </xf>
    <xf numFmtId="164" fontId="7" fillId="2" borderId="2" xfId="0" applyNumberFormat="1" applyFont="1" applyFill="1" applyBorder="1" applyAlignment="1">
      <alignment horizontal="center"/>
    </xf>
    <xf numFmtId="164" fontId="6" fillId="2" borderId="12" xfId="0" applyNumberFormat="1" applyFont="1" applyFill="1" applyBorder="1" applyAlignment="1">
      <alignment horizontal="center" wrapText="1"/>
    </xf>
    <xf numFmtId="164" fontId="6" fillId="2" borderId="2" xfId="0" applyNumberFormat="1" applyFont="1" applyFill="1" applyBorder="1" applyAlignment="1">
      <alignment horizontal="center" wrapText="1"/>
    </xf>
  </cellXfs>
  <cellStyles count="2">
    <cellStyle name="čárky" xfId="1" builtinId="3"/>
    <cellStyle name="normální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285750</xdr:colOff>
      <xdr:row>25</xdr:row>
      <xdr:rowOff>9524</xdr:rowOff>
    </xdr:from>
    <xdr:to>
      <xdr:col>11</xdr:col>
      <xdr:colOff>618952</xdr:colOff>
      <xdr:row>35</xdr:row>
      <xdr:rowOff>104774</xdr:rowOff>
    </xdr:to>
    <xdr:pic>
      <xdr:nvPicPr>
        <xdr:cNvPr id="105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81550" y="5162549"/>
          <a:ext cx="2666827" cy="248602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17</xdr:col>
      <xdr:colOff>323851</xdr:colOff>
      <xdr:row>0</xdr:row>
      <xdr:rowOff>200026</xdr:rowOff>
    </xdr:from>
    <xdr:to>
      <xdr:col>26</xdr:col>
      <xdr:colOff>381001</xdr:colOff>
      <xdr:row>23</xdr:row>
      <xdr:rowOff>61760</xdr:rowOff>
    </xdr:to>
    <xdr:pic>
      <xdr:nvPicPr>
        <xdr:cNvPr id="105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44768" y="200026"/>
          <a:ext cx="5581650" cy="462423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132523</xdr:colOff>
      <xdr:row>37</xdr:row>
      <xdr:rowOff>49697</xdr:rowOff>
    </xdr:from>
    <xdr:to>
      <xdr:col>21</xdr:col>
      <xdr:colOff>5499652</xdr:colOff>
      <xdr:row>37</xdr:row>
      <xdr:rowOff>3195951</xdr:rowOff>
    </xdr:to>
    <xdr:pic>
      <xdr:nvPicPr>
        <xdr:cNvPr id="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39132" y="6327914"/>
          <a:ext cx="5367129" cy="314625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21</xdr:col>
      <xdr:colOff>331306</xdr:colOff>
      <xdr:row>36</xdr:row>
      <xdr:rowOff>57978</xdr:rowOff>
    </xdr:from>
    <xdr:to>
      <xdr:col>21</xdr:col>
      <xdr:colOff>5317434</xdr:colOff>
      <xdr:row>36</xdr:row>
      <xdr:rowOff>3233999</xdr:rowOff>
    </xdr:to>
    <xdr:pic>
      <xdr:nvPicPr>
        <xdr:cNvPr id="3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37915" y="6145695"/>
          <a:ext cx="4986128" cy="3176021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image" Target="../media/image1.jpeg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List1"/>
  <dimension ref="B1:AC35"/>
  <sheetViews>
    <sheetView showGridLines="0" tabSelected="1" zoomScale="90" zoomScaleNormal="90" workbookViewId="0">
      <selection activeCell="F9" sqref="F9"/>
    </sheetView>
  </sheetViews>
  <sheetFormatPr defaultRowHeight="15"/>
  <cols>
    <col min="1" max="1" width="4" style="1" customWidth="1"/>
    <col min="2" max="2" width="1.85546875" style="1" customWidth="1"/>
    <col min="3" max="3" width="23.7109375" style="1" customWidth="1"/>
    <col min="4" max="4" width="10.7109375" style="1" customWidth="1"/>
    <col min="5" max="5" width="10" style="1" customWidth="1"/>
    <col min="6" max="6" width="10.85546875" style="1" customWidth="1"/>
    <col min="7" max="7" width="6.28515625" style="1" customWidth="1"/>
    <col min="8" max="8" width="4.7109375" style="1" customWidth="1"/>
    <col min="9" max="10" width="9.140625" style="1"/>
    <col min="11" max="11" width="12" style="1" customWidth="1"/>
    <col min="12" max="12" width="12.42578125" style="1" customWidth="1"/>
    <col min="13" max="13" width="8.85546875" style="1" customWidth="1"/>
    <col min="14" max="16384" width="9.140625" style="1"/>
  </cols>
  <sheetData>
    <row r="1" spans="2:20" ht="21">
      <c r="B1" s="27" t="s">
        <v>35</v>
      </c>
      <c r="C1" s="27"/>
      <c r="D1" s="28"/>
      <c r="E1" s="28"/>
    </row>
    <row r="2" spans="2:20" ht="15.75" thickBot="1">
      <c r="C2" s="2"/>
      <c r="D2" s="2"/>
    </row>
    <row r="3" spans="2:20">
      <c r="B3" s="5"/>
      <c r="C3" s="6"/>
      <c r="D3" s="6"/>
      <c r="E3" s="6"/>
      <c r="F3" s="6"/>
      <c r="G3" s="7"/>
    </row>
    <row r="4" spans="2:20">
      <c r="B4" s="8"/>
      <c r="C4" s="9"/>
      <c r="D4" s="9"/>
      <c r="E4" s="9"/>
      <c r="F4" s="9"/>
      <c r="G4" s="10"/>
    </row>
    <row r="5" spans="2:20">
      <c r="B5" s="8"/>
      <c r="C5" s="9"/>
      <c r="D5" s="9"/>
      <c r="E5" s="9"/>
      <c r="F5" s="9"/>
      <c r="G5" s="10"/>
    </row>
    <row r="6" spans="2:20">
      <c r="B6" s="8"/>
      <c r="C6" s="24" t="s">
        <v>7</v>
      </c>
      <c r="D6" s="9"/>
      <c r="E6" s="9"/>
      <c r="F6" s="9"/>
      <c r="G6" s="10"/>
    </row>
    <row r="7" spans="2:20">
      <c r="B7" s="8"/>
      <c r="C7" s="9"/>
      <c r="D7" s="9"/>
      <c r="E7" s="9"/>
      <c r="F7" s="9"/>
      <c r="G7" s="10"/>
    </row>
    <row r="8" spans="2:20">
      <c r="B8" s="8"/>
      <c r="C8" s="9"/>
      <c r="D8" s="9"/>
      <c r="E8" s="9"/>
      <c r="F8" s="9"/>
      <c r="G8" s="10"/>
    </row>
    <row r="9" spans="2:20">
      <c r="B9" s="8"/>
      <c r="C9" s="9"/>
      <c r="D9" s="9"/>
      <c r="E9" s="9"/>
      <c r="F9" s="9"/>
      <c r="G9" s="10"/>
    </row>
    <row r="10" spans="2:20">
      <c r="B10" s="8"/>
      <c r="C10" s="23" t="s">
        <v>11</v>
      </c>
      <c r="D10" s="9"/>
      <c r="E10" s="9"/>
      <c r="F10" s="9"/>
      <c r="G10" s="10"/>
    </row>
    <row r="11" spans="2:20">
      <c r="B11" s="8"/>
      <c r="C11" s="9" t="s">
        <v>4</v>
      </c>
      <c r="D11" s="9"/>
      <c r="E11" s="9" t="s">
        <v>1</v>
      </c>
      <c r="F11" s="11">
        <v>100</v>
      </c>
      <c r="G11" s="10" t="s">
        <v>18</v>
      </c>
    </row>
    <row r="12" spans="2:20">
      <c r="B12" s="8"/>
      <c r="C12" s="9"/>
      <c r="D12" s="9"/>
      <c r="E12" s="9"/>
      <c r="F12" s="9"/>
      <c r="G12" s="10"/>
    </row>
    <row r="13" spans="2:20">
      <c r="B13" s="8"/>
      <c r="C13" s="9" t="s">
        <v>5</v>
      </c>
      <c r="D13" s="9"/>
      <c r="E13" s="9" t="s">
        <v>2</v>
      </c>
      <c r="F13" s="11">
        <v>45</v>
      </c>
      <c r="G13" s="10" t="s">
        <v>18</v>
      </c>
    </row>
    <row r="14" spans="2:20">
      <c r="B14" s="8"/>
      <c r="C14" s="9"/>
      <c r="D14" s="9"/>
      <c r="E14" s="9"/>
      <c r="F14" s="9"/>
      <c r="G14" s="10"/>
    </row>
    <row r="15" spans="2:20">
      <c r="B15" s="8"/>
      <c r="C15" s="9" t="s">
        <v>6</v>
      </c>
      <c r="D15" s="9"/>
      <c r="E15" s="9" t="s">
        <v>3</v>
      </c>
      <c r="F15" s="11">
        <v>60</v>
      </c>
      <c r="G15" s="10" t="s">
        <v>18</v>
      </c>
      <c r="K15" s="2"/>
      <c r="T15" s="2"/>
    </row>
    <row r="16" spans="2:20" ht="15.75" thickBot="1">
      <c r="B16" s="12"/>
      <c r="C16" s="13"/>
      <c r="D16" s="13"/>
      <c r="E16" s="13"/>
      <c r="F16" s="13"/>
      <c r="G16" s="14"/>
    </row>
    <row r="17" spans="2:29" ht="15.75" thickBot="1">
      <c r="B17" s="3"/>
      <c r="C17" s="3"/>
      <c r="D17" s="3"/>
      <c r="E17" s="3"/>
      <c r="F17" s="3"/>
      <c r="G17" s="3"/>
      <c r="S17" s="29"/>
      <c r="T17" s="29"/>
      <c r="U17" s="29"/>
      <c r="V17" s="29"/>
      <c r="W17" s="29"/>
      <c r="X17" s="29"/>
      <c r="Y17" s="29"/>
      <c r="Z17" s="29"/>
      <c r="AA17" s="29"/>
    </row>
    <row r="18" spans="2:29" ht="21.75" thickBot="1">
      <c r="B18" s="3"/>
      <c r="C18" s="25" t="s">
        <v>34</v>
      </c>
      <c r="D18" s="26"/>
      <c r="E18" s="72">
        <f>List2!AJ21</f>
        <v>3475</v>
      </c>
      <c r="F18" s="73"/>
      <c r="G18" s="3" t="s">
        <v>10</v>
      </c>
      <c r="S18" s="29"/>
      <c r="T18" s="29"/>
      <c r="U18" s="29"/>
      <c r="V18" s="29"/>
      <c r="W18" s="29"/>
      <c r="X18" s="29"/>
      <c r="Y18" s="29"/>
      <c r="Z18" s="29"/>
      <c r="AA18" s="29"/>
    </row>
    <row r="19" spans="2:29" ht="19.5" thickBot="1">
      <c r="B19" s="4" t="s">
        <v>15</v>
      </c>
      <c r="F19" s="3"/>
      <c r="S19" s="29"/>
      <c r="T19" s="29"/>
      <c r="U19" s="29"/>
      <c r="V19" s="29"/>
      <c r="W19" s="29"/>
      <c r="X19" s="29"/>
      <c r="Y19" s="29"/>
      <c r="Z19" s="29"/>
      <c r="AA19" s="29"/>
    </row>
    <row r="20" spans="2:29">
      <c r="B20" s="5"/>
      <c r="C20" s="6"/>
      <c r="D20" s="6"/>
      <c r="E20" s="6"/>
      <c r="F20" s="6"/>
      <c r="G20" s="7"/>
      <c r="H20" s="3"/>
      <c r="I20" s="3"/>
      <c r="S20" s="29"/>
      <c r="T20" s="29"/>
      <c r="U20" s="29"/>
      <c r="V20" s="29"/>
      <c r="W20" s="29"/>
      <c r="X20" s="29"/>
      <c r="Y20" s="29"/>
      <c r="Z20" s="29"/>
      <c r="AA20" s="29"/>
    </row>
    <row r="21" spans="2:29" ht="15.75" thickBot="1">
      <c r="B21" s="8"/>
      <c r="C21" s="9" t="s">
        <v>36</v>
      </c>
      <c r="D21" s="9"/>
      <c r="E21" s="9"/>
      <c r="F21" s="9"/>
      <c r="G21" s="10"/>
      <c r="H21" s="3"/>
      <c r="I21" s="3"/>
      <c r="S21" s="29"/>
      <c r="T21" s="29"/>
      <c r="U21" s="29"/>
      <c r="V21" s="29"/>
      <c r="W21" s="29"/>
      <c r="X21" s="29"/>
      <c r="Y21" s="29"/>
      <c r="Z21" s="29"/>
      <c r="AA21" s="29"/>
    </row>
    <row r="22" spans="2:29" ht="21">
      <c r="B22" s="8"/>
      <c r="C22" s="9"/>
      <c r="D22" s="9"/>
      <c r="E22" s="9"/>
      <c r="F22" s="9"/>
      <c r="G22" s="10"/>
      <c r="H22" s="3"/>
      <c r="I22" s="3"/>
      <c r="K22" s="30" t="s">
        <v>46</v>
      </c>
      <c r="L22" s="31"/>
      <c r="M22" s="31"/>
      <c r="N22" s="31">
        <f>ROUND(List2!AF21,0)</f>
        <v>13</v>
      </c>
      <c r="O22" s="32" t="s">
        <v>47</v>
      </c>
      <c r="S22" s="29"/>
      <c r="T22" s="29"/>
      <c r="U22" s="29"/>
      <c r="V22" s="29"/>
      <c r="W22" s="29"/>
      <c r="X22" s="29"/>
      <c r="Y22" s="29"/>
      <c r="Z22" s="29"/>
      <c r="AA22" s="29"/>
    </row>
    <row r="23" spans="2:29" ht="19.5" thickBot="1">
      <c r="B23" s="8"/>
      <c r="C23" s="9" t="s">
        <v>17</v>
      </c>
      <c r="D23" s="9"/>
      <c r="E23" s="11">
        <v>3</v>
      </c>
      <c r="F23" s="9" t="s">
        <v>18</v>
      </c>
      <c r="G23" s="10"/>
      <c r="H23" s="3"/>
      <c r="I23" s="3"/>
      <c r="K23" s="33" t="s">
        <v>48</v>
      </c>
      <c r="L23" s="34"/>
      <c r="M23" s="34"/>
      <c r="N23" s="34">
        <f>ROUND((F11*F13*F15)/1000,0)</f>
        <v>270</v>
      </c>
      <c r="O23" s="35" t="s">
        <v>49</v>
      </c>
      <c r="S23" s="29"/>
      <c r="T23" s="29"/>
      <c r="U23" s="29"/>
      <c r="V23" s="29"/>
      <c r="W23" s="29"/>
      <c r="X23" s="29"/>
      <c r="Y23" s="29"/>
      <c r="Z23" s="29"/>
      <c r="AA23" s="29"/>
    </row>
    <row r="24" spans="2:29">
      <c r="B24" s="8"/>
      <c r="C24" s="9"/>
      <c r="D24" s="9"/>
      <c r="E24" s="9"/>
      <c r="F24" s="9"/>
      <c r="G24" s="10"/>
      <c r="H24" s="3"/>
      <c r="I24" s="3"/>
      <c r="S24" s="29"/>
      <c r="T24" s="29"/>
      <c r="U24" s="29"/>
      <c r="V24" s="29"/>
      <c r="W24" s="29"/>
      <c r="X24" s="29"/>
      <c r="Y24" s="29"/>
      <c r="Z24" s="29"/>
      <c r="AA24" s="29"/>
    </row>
    <row r="25" spans="2:29">
      <c r="B25" s="8"/>
      <c r="C25" s="75" t="s">
        <v>33</v>
      </c>
      <c r="D25" s="75"/>
      <c r="E25" s="9"/>
      <c r="F25" s="9"/>
      <c r="G25" s="10"/>
      <c r="H25" s="3"/>
      <c r="I25" s="3"/>
      <c r="S25" s="29"/>
      <c r="T25" s="29"/>
      <c r="U25" s="29"/>
      <c r="V25" s="29"/>
      <c r="W25" s="29"/>
      <c r="X25" s="29"/>
      <c r="Y25" s="29"/>
      <c r="Z25" s="29"/>
      <c r="AA25" s="29"/>
    </row>
    <row r="26" spans="2:29" ht="15" customHeight="1" thickBot="1">
      <c r="B26" s="18"/>
      <c r="C26" s="75"/>
      <c r="D26" s="75"/>
      <c r="E26" s="11">
        <v>0</v>
      </c>
      <c r="F26" s="9" t="s">
        <v>19</v>
      </c>
      <c r="G26" s="10"/>
      <c r="H26" s="3"/>
      <c r="I26" s="3"/>
      <c r="S26" s="29"/>
      <c r="T26" s="29"/>
      <c r="U26" s="29"/>
      <c r="V26" s="29"/>
      <c r="W26" s="29"/>
      <c r="X26" s="29"/>
      <c r="Y26" s="29"/>
      <c r="Z26" s="29"/>
      <c r="AA26" s="29"/>
    </row>
    <row r="27" spans="2:29" ht="15.75" thickBot="1">
      <c r="B27" s="19"/>
      <c r="C27" s="20"/>
      <c r="D27" s="20"/>
      <c r="E27" s="20"/>
      <c r="F27" s="13"/>
      <c r="G27" s="14"/>
      <c r="H27" s="3"/>
      <c r="I27" s="3"/>
      <c r="J27" s="3"/>
      <c r="K27" s="3"/>
      <c r="M27" s="5" t="s">
        <v>50</v>
      </c>
      <c r="N27" s="6"/>
      <c r="O27" s="6"/>
      <c r="P27" s="36">
        <v>55</v>
      </c>
      <c r="Q27" s="7" t="s">
        <v>18</v>
      </c>
      <c r="U27" s="29"/>
      <c r="V27" s="29"/>
      <c r="W27" s="29"/>
      <c r="X27" s="29"/>
      <c r="Y27" s="29"/>
      <c r="Z27" s="29"/>
      <c r="AA27" s="29"/>
      <c r="AB27" s="29"/>
      <c r="AC27" s="29"/>
    </row>
    <row r="28" spans="2:29" ht="15.75" thickBot="1">
      <c r="F28" s="3"/>
      <c r="M28" s="8"/>
      <c r="N28" s="9"/>
      <c r="O28" s="9"/>
      <c r="P28" s="9"/>
      <c r="Q28" s="10"/>
      <c r="U28" s="29"/>
      <c r="V28" s="29"/>
      <c r="W28" s="29"/>
      <c r="X28" s="29"/>
      <c r="Y28" s="29"/>
      <c r="Z28" s="29"/>
      <c r="AA28" s="29"/>
      <c r="AB28" s="29"/>
      <c r="AC28" s="29"/>
    </row>
    <row r="29" spans="2:29" ht="16.5" thickBot="1">
      <c r="C29" s="21" t="s">
        <v>20</v>
      </c>
      <c r="D29" s="22"/>
      <c r="E29" s="76">
        <f>CEILING(IF(List2!AA28=1,(List2!AC33+List2!AC34)*List2!AC27,(IF(List2!AA28=2,(List2!AC33+List2!AC34)*List2!AC28,(List2!AC33+List2!AC34)*List2!AC29))),1)</f>
        <v>60</v>
      </c>
      <c r="F29" s="77"/>
      <c r="G29" s="1" t="s">
        <v>10</v>
      </c>
      <c r="M29" s="8" t="s">
        <v>51</v>
      </c>
      <c r="N29" s="9"/>
      <c r="O29" s="9"/>
      <c r="P29" s="11">
        <v>3</v>
      </c>
      <c r="Q29" s="10" t="s">
        <v>18</v>
      </c>
      <c r="U29" s="29"/>
      <c r="V29" s="29"/>
      <c r="W29" s="29"/>
      <c r="X29" s="29"/>
      <c r="Y29" s="29"/>
      <c r="Z29" s="29"/>
      <c r="AA29" s="29"/>
      <c r="AB29" s="29"/>
      <c r="AC29" s="29"/>
    </row>
    <row r="30" spans="2:29" ht="35.25" customHeight="1" thickBot="1">
      <c r="F30" s="3"/>
      <c r="M30" s="68" t="s">
        <v>52</v>
      </c>
      <c r="N30" s="69"/>
      <c r="O30" s="37"/>
      <c r="P30" s="70">
        <f>N22+List2!C5+List2!C8</f>
        <v>162</v>
      </c>
      <c r="Q30" s="71" t="s">
        <v>47</v>
      </c>
      <c r="U30" s="29"/>
      <c r="V30" s="29"/>
      <c r="W30" s="29"/>
      <c r="X30" s="29"/>
      <c r="Y30" s="29"/>
      <c r="Z30" s="29"/>
      <c r="AA30" s="29"/>
      <c r="AB30" s="29"/>
      <c r="AC30" s="29"/>
    </row>
    <row r="31" spans="2:29" ht="29.25" customHeight="1" thickBot="1">
      <c r="C31" s="16" t="s">
        <v>21</v>
      </c>
      <c r="D31" s="17"/>
      <c r="E31" s="78">
        <f>E18+E29</f>
        <v>3535</v>
      </c>
      <c r="F31" s="79"/>
      <c r="G31" s="1" t="s">
        <v>10</v>
      </c>
      <c r="M31" s="68"/>
      <c r="N31" s="69"/>
      <c r="O31" s="37"/>
      <c r="P31" s="69"/>
      <c r="Q31" s="71"/>
      <c r="U31" s="29"/>
      <c r="V31" s="29"/>
      <c r="W31" s="29"/>
      <c r="X31" s="29"/>
      <c r="Y31" s="29"/>
      <c r="Z31" s="29"/>
      <c r="AA31" s="29"/>
      <c r="AB31" s="29"/>
      <c r="AC31" s="29"/>
    </row>
    <row r="32" spans="2:29" ht="15.75" thickBot="1">
      <c r="M32" s="12"/>
      <c r="N32" s="13"/>
      <c r="O32" s="13"/>
      <c r="P32" s="13"/>
      <c r="Q32" s="14"/>
      <c r="U32" s="29"/>
      <c r="V32" s="29"/>
      <c r="W32" s="29"/>
      <c r="X32" s="29"/>
      <c r="Y32" s="29"/>
      <c r="Z32" s="29"/>
      <c r="AA32" s="29"/>
      <c r="AB32" s="29"/>
      <c r="AC32" s="29"/>
    </row>
    <row r="33" spans="3:27" ht="15" customHeight="1">
      <c r="C33" s="74" t="s">
        <v>9</v>
      </c>
      <c r="D33" s="74"/>
      <c r="E33" s="74"/>
      <c r="F33" s="15"/>
      <c r="G33" s="15"/>
      <c r="S33" s="29"/>
      <c r="T33" s="29"/>
      <c r="U33" s="29"/>
      <c r="V33" s="29"/>
      <c r="W33" s="29"/>
      <c r="X33" s="29"/>
      <c r="Y33" s="29"/>
      <c r="Z33" s="29"/>
      <c r="AA33" s="29"/>
    </row>
    <row r="34" spans="3:27">
      <c r="C34" s="74"/>
      <c r="D34" s="74"/>
      <c r="E34" s="74"/>
      <c r="F34" s="15"/>
      <c r="G34" s="15"/>
    </row>
    <row r="35" spans="3:27">
      <c r="C35" s="74"/>
      <c r="D35" s="74"/>
      <c r="E35" s="74"/>
      <c r="F35" s="15"/>
      <c r="G35" s="15"/>
    </row>
  </sheetData>
  <sheetProtection formatCells="0" formatColumns="0" formatRows="0" insertColumns="0" insertRows="0" insertHyperlinks="0" deleteColumns="0" deleteRows="0" sort="0" autoFilter="0" pivotTables="0"/>
  <protectedRanges>
    <protectedRange sqref="F19:F20 F11:F17 E23:E26 F27:F30" name="Oblast1"/>
  </protectedRanges>
  <mergeCells count="8">
    <mergeCell ref="M30:N31"/>
    <mergeCell ref="P30:P31"/>
    <mergeCell ref="Q30:Q31"/>
    <mergeCell ref="E18:F18"/>
    <mergeCell ref="C33:E35"/>
    <mergeCell ref="C25:D26"/>
    <mergeCell ref="E29:F29"/>
    <mergeCell ref="E31:F31"/>
  </mergeCells>
  <phoneticPr fontId="0" type="noConversion"/>
  <pageMargins left="0.23622047244094491" right="0.23622047244094491" top="0.19685039370078741" bottom="0.74803149606299213" header="0.31496062992125984" footer="0.31496062992125984"/>
  <pageSetup paperSize="5" orientation="landscape" r:id="rId1"/>
  <drawing r:id="rId2"/>
  <legacyDrawing r:id="rId3"/>
  <picture r:id="rId4"/>
</worksheet>
</file>

<file path=xl/worksheets/sheet2.xml><?xml version="1.0" encoding="utf-8"?>
<worksheet xmlns="http://schemas.openxmlformats.org/spreadsheetml/2006/main" xmlns:r="http://schemas.openxmlformats.org/officeDocument/2006/relationships">
  <sheetPr codeName="List2"/>
  <dimension ref="A1:AQ38"/>
  <sheetViews>
    <sheetView zoomScale="115" zoomScaleNormal="115" workbookViewId="0"/>
  </sheetViews>
  <sheetFormatPr defaultRowHeight="15"/>
  <cols>
    <col min="1" max="2" width="9.28515625" style="40" customWidth="1"/>
    <col min="3" max="15" width="9.140625" style="40"/>
    <col min="16" max="16" width="9" style="40" customWidth="1"/>
    <col min="17" max="21" width="9.140625" style="40" hidden="1" customWidth="1"/>
    <col min="22" max="22" width="85.5703125" style="40" customWidth="1"/>
    <col min="23" max="23" width="16.7109375" style="40" bestFit="1" customWidth="1"/>
    <col min="24" max="26" width="9.140625" style="40"/>
    <col min="27" max="27" width="17.85546875" style="40" customWidth="1"/>
    <col min="28" max="28" width="14.28515625" style="40" customWidth="1"/>
    <col min="29" max="29" width="10.85546875" style="40" customWidth="1"/>
    <col min="30" max="30" width="16.7109375" style="40" customWidth="1"/>
    <col min="31" max="31" width="11.85546875" style="40" bestFit="1" customWidth="1"/>
    <col min="32" max="35" width="9.140625" style="40"/>
    <col min="36" max="36" width="12.85546875" style="40" customWidth="1"/>
    <col min="37" max="37" width="13.7109375" style="40" bestFit="1" customWidth="1"/>
    <col min="38" max="38" width="12.5703125" style="40" bestFit="1" customWidth="1"/>
    <col min="39" max="39" width="12.7109375" style="40" bestFit="1" customWidth="1"/>
    <col min="40" max="16384" width="9.140625" style="40"/>
  </cols>
  <sheetData>
    <row r="1" spans="1:43">
      <c r="A1" s="57" t="s">
        <v>56</v>
      </c>
      <c r="C1" s="40">
        <f>(Konfigurátor!F11*Konfigurátor!F13)/10000</f>
        <v>0.45</v>
      </c>
      <c r="T1" s="40">
        <v>1</v>
      </c>
      <c r="U1" s="40" t="s">
        <v>0</v>
      </c>
      <c r="AA1" s="38">
        <v>1</v>
      </c>
      <c r="AB1" s="39"/>
      <c r="AC1" s="38"/>
      <c r="AL1" s="40" t="s">
        <v>63</v>
      </c>
      <c r="AM1" s="61">
        <f>AP1*AM2</f>
        <v>2020</v>
      </c>
      <c r="AP1" s="40">
        <v>404</v>
      </c>
      <c r="AQ1" s="40" t="s">
        <v>64</v>
      </c>
    </row>
    <row r="2" spans="1:43">
      <c r="T2" s="40">
        <v>2</v>
      </c>
      <c r="U2" s="40" t="s">
        <v>25</v>
      </c>
      <c r="AA2" s="38"/>
      <c r="AB2" s="38" t="s">
        <v>32</v>
      </c>
      <c r="AC2" s="38"/>
      <c r="AM2" s="40">
        <f>IF(AK10&lt;AO7,AN7,IF(AK10&lt;AO8,AN8,AN9))</f>
        <v>5</v>
      </c>
    </row>
    <row r="3" spans="1:43">
      <c r="A3" s="40" t="s">
        <v>53</v>
      </c>
      <c r="B3" s="38"/>
      <c r="C3" s="40">
        <v>500</v>
      </c>
      <c r="D3" s="40" t="s">
        <v>55</v>
      </c>
      <c r="AA3" s="38"/>
      <c r="AB3" s="38"/>
      <c r="AC3" s="38"/>
    </row>
    <row r="4" spans="1:43">
      <c r="A4" s="40" t="s">
        <v>48</v>
      </c>
      <c r="B4" s="38"/>
      <c r="C4" s="40">
        <f>(Konfigurátor!P27/100)*List2!C1</f>
        <v>0.24750000000000003</v>
      </c>
      <c r="W4" s="55"/>
      <c r="AA4" s="38" t="s">
        <v>0</v>
      </c>
      <c r="AB4" s="39">
        <f>ROUND((2*(Konfigurátor!$F$11*Konfigurátor!$F$15+Konfigurátor!$F$13*Konfigurátor!$F$15)+Konfigurátor!$F$11*Konfigurátor!$F$13)*List2!$AA$14/10000+AB9,0)</f>
        <v>2738</v>
      </c>
      <c r="AC4" s="38"/>
      <c r="AL4" s="40">
        <v>400</v>
      </c>
      <c r="AM4" s="40">
        <v>600</v>
      </c>
    </row>
    <row r="5" spans="1:43">
      <c r="A5" s="40" t="s">
        <v>57</v>
      </c>
      <c r="B5" s="38"/>
      <c r="C5" s="40">
        <f>ROUND(C4*C3,0)</f>
        <v>124</v>
      </c>
      <c r="AA5" s="38" t="s">
        <v>25</v>
      </c>
      <c r="AB5" s="39">
        <f>ROUND(((2*(Konfigurátor!$F$11*Konfigurátor!$F$15+Konfigurátor!$F$13*Konfigurátor!$F$15)+Konfigurátor!$F$11*Konfigurátor!$F$13)*List2!$AD$13/10000)+((2*(Konfigurátor!$F$11*Konfigurátor!$F$15+Konfigurátor!$F$13*Konfigurátor!$F$15)+Konfigurátor!$F$11*Konfigurátor!$F$13)*List2!$AD$13/10000),0)+AB4</f>
        <v>5892</v>
      </c>
      <c r="AC5" s="38"/>
      <c r="AD5" s="40" t="s">
        <v>26</v>
      </c>
      <c r="AE5" s="40">
        <v>150</v>
      </c>
      <c r="AF5" s="40" t="s">
        <v>27</v>
      </c>
      <c r="AJ5" s="40" t="s">
        <v>69</v>
      </c>
      <c r="AK5" s="62">
        <v>0.2</v>
      </c>
      <c r="AL5" s="40" t="s">
        <v>61</v>
      </c>
      <c r="AM5" s="40" t="s">
        <v>62</v>
      </c>
    </row>
    <row r="6" spans="1:43" ht="15.75" thickBot="1">
      <c r="A6" s="40" t="s">
        <v>54</v>
      </c>
      <c r="B6" s="38"/>
      <c r="C6" s="40">
        <v>1850</v>
      </c>
      <c r="D6" s="40" t="s">
        <v>55</v>
      </c>
      <c r="AA6" s="38">
        <f>CHOOSE(AA1,AB4,AB5)</f>
        <v>2738</v>
      </c>
      <c r="AB6" s="38"/>
      <c r="AC6" s="38"/>
      <c r="AL6" s="40">
        <v>1</v>
      </c>
      <c r="AM6" s="40">
        <v>2</v>
      </c>
      <c r="AN6" s="40" t="s">
        <v>64</v>
      </c>
      <c r="AO6" s="40" t="s">
        <v>16</v>
      </c>
    </row>
    <row r="7" spans="1:43">
      <c r="A7" s="40" t="s">
        <v>48</v>
      </c>
      <c r="B7" s="38"/>
      <c r="C7" s="40">
        <f>(Konfigurátor!P29/100)*List2!C1</f>
        <v>1.35E-2</v>
      </c>
      <c r="AA7" s="41" t="s">
        <v>29</v>
      </c>
      <c r="AB7" s="42" t="b">
        <v>0</v>
      </c>
      <c r="AC7" s="43"/>
      <c r="AD7" s="44" t="s">
        <v>28</v>
      </c>
      <c r="AE7" s="44">
        <v>1200</v>
      </c>
      <c r="AF7" s="58" t="s">
        <v>27</v>
      </c>
      <c r="AJ7" s="40" t="s">
        <v>58</v>
      </c>
      <c r="AK7" s="40">
        <f>Konfigurátor!F11*Konfigurátor!F13/10000</f>
        <v>0.45</v>
      </c>
      <c r="AN7" s="40">
        <v>3</v>
      </c>
      <c r="AO7" s="40">
        <v>2</v>
      </c>
    </row>
    <row r="8" spans="1:43">
      <c r="A8" s="40" t="s">
        <v>57</v>
      </c>
      <c r="B8" s="38"/>
      <c r="C8" s="40">
        <f>ROUND(C7*C6,0)</f>
        <v>25</v>
      </c>
      <c r="AA8" s="45" t="s">
        <v>30</v>
      </c>
      <c r="AB8" s="46">
        <f>(Konfigurátor!$F$11*Konfigurátor!$F$13)/10000</f>
        <v>0.45</v>
      </c>
      <c r="AC8" s="46" t="s">
        <v>16</v>
      </c>
      <c r="AD8" s="47" t="s">
        <v>38</v>
      </c>
      <c r="AE8" s="47">
        <v>7.4</v>
      </c>
      <c r="AF8" s="59" t="s">
        <v>42</v>
      </c>
      <c r="AJ8" s="40" t="s">
        <v>60</v>
      </c>
      <c r="AK8" s="40">
        <f>Konfigurátor!F13*Konfigurátor!F15/10000*2</f>
        <v>0.54</v>
      </c>
      <c r="AN8" s="40">
        <v>5</v>
      </c>
      <c r="AO8" s="40">
        <v>3</v>
      </c>
    </row>
    <row r="9" spans="1:43" ht="15.75" thickBot="1">
      <c r="B9" s="38"/>
      <c r="AA9" s="48" t="s">
        <v>31</v>
      </c>
      <c r="AB9" s="49">
        <f>IF(AB7=TRUE,AB8*AE7,0)</f>
        <v>0</v>
      </c>
      <c r="AC9" s="49"/>
      <c r="AD9" s="50" t="s">
        <v>38</v>
      </c>
      <c r="AE9" s="49">
        <f>IF(AB7=TRUE,AE8*AB7,0)</f>
        <v>0</v>
      </c>
      <c r="AF9" s="60">
        <f>AE9*AB8</f>
        <v>0</v>
      </c>
      <c r="AJ9" s="40" t="s">
        <v>59</v>
      </c>
      <c r="AK9" s="40">
        <f>Konfigurátor!F11*Konfigurátor!F15/10000*2</f>
        <v>1.2</v>
      </c>
      <c r="AL9" s="63">
        <f>AK10*AL4+AM1</f>
        <v>2896</v>
      </c>
      <c r="AM9" s="63">
        <f>AK10*AM4+AM1</f>
        <v>3334</v>
      </c>
      <c r="AN9" s="40">
        <v>9</v>
      </c>
      <c r="AO9" s="40">
        <v>4</v>
      </c>
    </row>
    <row r="10" spans="1:43">
      <c r="B10" s="38"/>
      <c r="AA10" s="38"/>
      <c r="AB10" s="38"/>
      <c r="AC10" s="38"/>
      <c r="AK10" s="40">
        <f>SUM(AK7:AK9)</f>
        <v>2.19</v>
      </c>
      <c r="AL10" s="63">
        <f>(1+AK5)*AL9</f>
        <v>3475.2</v>
      </c>
      <c r="AM10" s="63">
        <f>(1+AK5)*AM9</f>
        <v>4000.7999999999997</v>
      </c>
    </row>
    <row r="11" spans="1:43">
      <c r="B11" s="38"/>
      <c r="AA11" s="38" t="s">
        <v>7</v>
      </c>
      <c r="AB11" s="38"/>
      <c r="AC11" s="38"/>
    </row>
    <row r="12" spans="1:43">
      <c r="B12" s="38"/>
      <c r="AA12" s="38">
        <v>1</v>
      </c>
      <c r="AB12" s="38"/>
      <c r="AC12" s="38"/>
      <c r="AE12" s="40" t="s">
        <v>38</v>
      </c>
      <c r="AJ12" s="40" t="s">
        <v>70</v>
      </c>
      <c r="AK12" s="40">
        <f>AK7*AM12</f>
        <v>540</v>
      </c>
      <c r="AM12" s="40">
        <v>1200</v>
      </c>
      <c r="AN12" s="40" t="s">
        <v>16</v>
      </c>
    </row>
    <row r="13" spans="1:43">
      <c r="B13" s="38"/>
      <c r="AA13" s="38" t="s">
        <v>8</v>
      </c>
      <c r="AB13" s="38" t="s">
        <v>12</v>
      </c>
      <c r="AC13" s="51">
        <v>0.4</v>
      </c>
      <c r="AD13" s="40">
        <v>720</v>
      </c>
      <c r="AE13" s="40">
        <v>2.8</v>
      </c>
      <c r="AF13" s="40">
        <f>AE13*AB16</f>
        <v>6.1319999999999997</v>
      </c>
    </row>
    <row r="14" spans="1:43">
      <c r="B14" s="38"/>
      <c r="AA14" s="38">
        <f>CHOOSE(AA12,AD14,AD15)</f>
        <v>1250</v>
      </c>
      <c r="AB14" s="38" t="s">
        <v>13</v>
      </c>
      <c r="AC14" s="51">
        <v>0.8</v>
      </c>
      <c r="AD14" s="40">
        <v>1250</v>
      </c>
      <c r="AE14" s="40">
        <v>5.6</v>
      </c>
      <c r="AF14" s="40">
        <f>AE14*AB16</f>
        <v>12.263999999999999</v>
      </c>
      <c r="AJ14" s="40" t="s">
        <v>65</v>
      </c>
      <c r="AK14" s="40">
        <v>200</v>
      </c>
    </row>
    <row r="15" spans="1:43">
      <c r="B15" s="38"/>
      <c r="AA15" s="38"/>
      <c r="AB15" s="38" t="s">
        <v>14</v>
      </c>
      <c r="AC15" s="51">
        <v>1.5</v>
      </c>
      <c r="AD15" s="40">
        <v>1500</v>
      </c>
      <c r="AE15" s="40">
        <v>13.8</v>
      </c>
      <c r="AF15" s="40">
        <f>AE15*AB16</f>
        <v>30.222000000000001</v>
      </c>
      <c r="AK15" s="61">
        <f>AK10*AK14</f>
        <v>438</v>
      </c>
    </row>
    <row r="16" spans="1:43">
      <c r="B16" s="38"/>
      <c r="AA16" s="52" t="s">
        <v>40</v>
      </c>
      <c r="AB16" s="53">
        <f>(Konfigurátor!F11*Konfigurátor!F13+Konfigurátor!F11*Konfigurátor!F15*2+Konfigurátor!F13*Konfigurátor!F15*2)/10000</f>
        <v>2.19</v>
      </c>
      <c r="AC16" s="51"/>
      <c r="AJ16" s="40" t="s">
        <v>66</v>
      </c>
      <c r="AK16" s="40">
        <f>AK10*AM16</f>
        <v>438</v>
      </c>
      <c r="AL16" s="40" t="s">
        <v>12</v>
      </c>
      <c r="AM16" s="40">
        <v>200</v>
      </c>
    </row>
    <row r="17" spans="2:37">
      <c r="B17" s="38"/>
      <c r="AA17" s="38"/>
      <c r="AB17" s="38"/>
      <c r="AC17" s="51"/>
      <c r="AJ17" s="55" t="s">
        <v>67</v>
      </c>
      <c r="AK17" s="64">
        <f>ROUND((AK10*AL4+AN9*AP1+AK15+AK16)*(1+AK5)+(AK12*AB7),0)</f>
        <v>6466</v>
      </c>
    </row>
    <row r="18" spans="2:37">
      <c r="B18" s="38"/>
      <c r="AC18" s="51"/>
      <c r="AD18" s="38" t="s">
        <v>43</v>
      </c>
      <c r="AF18" s="38">
        <f>(IF(AA12=1,AE14*AB16,AE15*AB16))</f>
        <v>12.263999999999999</v>
      </c>
    </row>
    <row r="19" spans="2:37">
      <c r="B19" s="38"/>
      <c r="AA19" s="38"/>
      <c r="AB19" s="38"/>
      <c r="AC19" s="51"/>
      <c r="AD19" s="38" t="s">
        <v>41</v>
      </c>
      <c r="AE19" s="38" t="s">
        <v>12</v>
      </c>
      <c r="AF19" s="51">
        <f>IF(AA1=1,0,AF13)</f>
        <v>0</v>
      </c>
      <c r="AJ19" s="55" t="s">
        <v>68</v>
      </c>
      <c r="AK19" s="65">
        <f>ROUND(IF(AA12=1,AL10,AM10)+(AK12*AB7),0)</f>
        <v>3475</v>
      </c>
    </row>
    <row r="20" spans="2:37">
      <c r="B20" s="38"/>
      <c r="AB20" s="38"/>
      <c r="AC20" s="51"/>
      <c r="AD20" s="38" t="s">
        <v>44</v>
      </c>
      <c r="AF20" s="40">
        <f>IF(AA28=1,AD28*AC35,AD29*AC35)</f>
        <v>0.46166400000000002</v>
      </c>
    </row>
    <row r="21" spans="2:37" ht="15.75">
      <c r="B21" s="38"/>
      <c r="AA21" s="38"/>
      <c r="AB21" s="38"/>
      <c r="AC21" s="51"/>
      <c r="AD21" s="54" t="s">
        <v>45</v>
      </c>
      <c r="AE21" s="55"/>
      <c r="AF21" s="55">
        <f>SUM(AF18:AF20,AF9)</f>
        <v>12.725664</v>
      </c>
      <c r="AJ21" s="66">
        <f>CHOOSE(AA1,AK19,AK17)</f>
        <v>3475</v>
      </c>
      <c r="AK21" s="67" t="s">
        <v>71</v>
      </c>
    </row>
    <row r="22" spans="2:37">
      <c r="B22" s="38"/>
      <c r="AA22" s="38"/>
      <c r="AB22" s="38"/>
      <c r="AC22" s="51"/>
    </row>
    <row r="23" spans="2:37">
      <c r="B23" s="38"/>
      <c r="AA23" s="38"/>
      <c r="AB23" s="38"/>
      <c r="AC23" s="51"/>
    </row>
    <row r="24" spans="2:37">
      <c r="AA24" s="38"/>
      <c r="AB24" s="38"/>
      <c r="AC24" s="38"/>
    </row>
    <row r="25" spans="2:37">
      <c r="AA25" s="38" t="s">
        <v>24</v>
      </c>
      <c r="AB25" s="38"/>
      <c r="AC25" s="38" t="b">
        <v>1</v>
      </c>
    </row>
    <row r="26" spans="2:37">
      <c r="AA26" s="38" t="s">
        <v>15</v>
      </c>
      <c r="AB26" s="38"/>
      <c r="AC26" s="38"/>
      <c r="AD26" s="40" t="s">
        <v>38</v>
      </c>
    </row>
    <row r="27" spans="2:37">
      <c r="AA27" s="38" t="s">
        <v>7</v>
      </c>
      <c r="AB27" s="38" t="s">
        <v>12</v>
      </c>
      <c r="AC27" s="40">
        <v>720</v>
      </c>
    </row>
    <row r="28" spans="2:37">
      <c r="AA28" s="38">
        <v>1</v>
      </c>
      <c r="AB28" s="38" t="s">
        <v>13</v>
      </c>
      <c r="AC28" s="40">
        <v>1250</v>
      </c>
      <c r="AD28" s="40">
        <v>5.6</v>
      </c>
      <c r="AE28" s="40">
        <f>AD28*AC35</f>
        <v>0.46166400000000002</v>
      </c>
    </row>
    <row r="29" spans="2:37">
      <c r="AA29" s="38"/>
      <c r="AB29" s="38" t="s">
        <v>14</v>
      </c>
      <c r="AC29" s="40">
        <v>1500</v>
      </c>
      <c r="AD29" s="40">
        <v>10.5</v>
      </c>
      <c r="AE29" s="40">
        <f>AD29*AC35</f>
        <v>0.86562000000000017</v>
      </c>
    </row>
    <row r="30" spans="2:37">
      <c r="AA30" s="38" t="s">
        <v>8</v>
      </c>
    </row>
    <row r="31" spans="2:37">
      <c r="AA31" s="38">
        <f>CHOOSE(AA28,AC28,AC29)</f>
        <v>1250</v>
      </c>
    </row>
    <row r="33" spans="22:32">
      <c r="AA33" s="40" t="s">
        <v>22</v>
      </c>
      <c r="AC33" s="56">
        <f>IF(List2!AC25=TRUE,(IF(List2!AA12=1,(2*Konfigurátor!E23*(Konfigurátor!F11-2*List2!AC13)+2*Konfigurátor!E23*((Konfigurátor!F13-(2*Konfigurátor!E23)-(2*List2!AC13)))),(IF(List2!AA12=2,(2*Konfigurátor!E23*(Konfigurátor!F11-2*List2!AC14)+2*Konfigurátor!E23*((Konfigurátor!F13-(2*Konfigurátor!E23)-(2*List2!AC14)))),(2*Konfigurátor!E23*(Konfigurátor!F11-2*List2!AC15)+2*Konfigurátor!E23*((Konfigurátor!F13-(2*Konfigurátor!E23)-(2*List2!AC15))))))))/10000,"0")</f>
        <v>8.2440000000000013E-2</v>
      </c>
      <c r="AD33" s="40" t="s">
        <v>16</v>
      </c>
      <c r="AE33" s="40">
        <f>AC33*AC28</f>
        <v>103.05000000000001</v>
      </c>
      <c r="AF33" s="40">
        <f>AC33*AC29</f>
        <v>123.66000000000003</v>
      </c>
    </row>
    <row r="34" spans="22:32">
      <c r="V34" s="40" t="s">
        <v>37</v>
      </c>
      <c r="AA34" s="40" t="s">
        <v>23</v>
      </c>
      <c r="AC34" s="56">
        <f>((IF(List2!AA12=1,Konfigurátor!E23*(Konfigurátor!F15-2*List2!AC13),(IF(List2!AA12=2,Konfigurátor!E23*(Konfigurátor!F15-2*List2!AC14),Konfigurátor!E23*(Konfigurátor!F15-2*List2!AC15)))))/10000)*Konfigurátor!E26</f>
        <v>0</v>
      </c>
      <c r="AD34" s="40" t="s">
        <v>16</v>
      </c>
      <c r="AE34" s="40">
        <f>AC34*AC28</f>
        <v>0</v>
      </c>
      <c r="AF34" s="40">
        <f>AC29*AC34</f>
        <v>0</v>
      </c>
    </row>
    <row r="35" spans="22:32">
      <c r="AA35" s="40" t="s">
        <v>39</v>
      </c>
      <c r="AC35" s="40">
        <f>AC34+AC33</f>
        <v>8.2440000000000013E-2</v>
      </c>
    </row>
    <row r="37" spans="22:32" ht="261.75" customHeight="1"/>
    <row r="38" spans="22:32" ht="262.5" customHeight="1"/>
  </sheetData>
  <sheetProtection formatCells="0" formatColumns="0" formatRows="0" insertColumns="0" insertRows="0" insertHyperlinks="0" deleteColumns="0" deleteRows="0" sort="0" autoFilter="0" pivotTables="0"/>
  <protectedRanges>
    <protectedRange sqref="AC33" name="Oblast1"/>
    <protectedRange sqref="AC34" name="Oblast1_1"/>
  </protectedRanges>
  <phoneticPr fontId="0" type="noConversion"/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List3"/>
  <dimension ref="A1"/>
  <sheetViews>
    <sheetView workbookViewId="0">
      <selection activeCell="C41" sqref="C41"/>
    </sheetView>
  </sheetViews>
  <sheetFormatPr defaultRowHeight="15"/>
  <sheetData/>
  <phoneticPr fontId="0" type="noConversion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Konfigurátor</vt:lpstr>
      <vt:lpstr>List2</vt:lpstr>
      <vt:lpstr>List3</vt:lpstr>
      <vt:lpstr>List2!Oblast_tisku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</dc:creator>
  <cp:lastModifiedBy>Lea</cp:lastModifiedBy>
  <cp:lastPrinted>2015-03-05T12:19:39Z</cp:lastPrinted>
  <dcterms:created xsi:type="dcterms:W3CDTF">2014-11-12T06:53:00Z</dcterms:created>
  <dcterms:modified xsi:type="dcterms:W3CDTF">2023-08-28T13:58:29Z</dcterms:modified>
</cp:coreProperties>
</file>

<file path=userCustomization/customUI.xml><?xml version="1.0" encoding="utf-8"?>
<mso:customUI xmlns:mso="http://schemas.microsoft.com/office/2006/01/customui">
  <mso:ribbon>
    <mso:qat>
      <mso:documentControls>
        <mso:control idQ="mso:DataValidationMenu" visible="true"/>
        <mso:control idQ="mso:DataValidation" visible="true"/>
        <mso:control idQ="mso:Connections" visible="true"/>
      </mso:documentControls>
    </mso:qat>
  </mso:ribbon>
</mso:customUI>
</file>